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81F209F-C52A-4491-B341-8714C433B0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</sheets>
  <definedNames>
    <definedName name="_xlnm.Print_Area" localSheetId="0">Sheet1!$B$2:$O$24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16" i="1"/>
  <c r="E3" i="3"/>
  <c r="E9" i="3"/>
  <c r="J9" i="3"/>
  <c r="E14" i="3"/>
  <c r="E13" i="3"/>
  <c r="E12" i="3"/>
  <c r="E11" i="3"/>
  <c r="E10" i="3"/>
  <c r="E6" i="3"/>
  <c r="E8" i="3"/>
  <c r="E7" i="3"/>
  <c r="I11" i="1"/>
  <c r="I13" i="1"/>
  <c r="I12" i="1"/>
  <c r="H19" i="1"/>
  <c r="I19" i="1"/>
  <c r="H22" i="1"/>
  <c r="J14" i="1"/>
  <c r="I14" i="1"/>
  <c r="L14" i="1"/>
  <c r="L19" i="1"/>
  <c r="L22" i="1"/>
  <c r="F22" i="1"/>
  <c r="I22" i="1"/>
  <c r="I23" i="1"/>
  <c r="I20" i="1"/>
  <c r="K14" i="1"/>
  <c r="H15" i="1"/>
  <c r="F10" i="1"/>
  <c r="O14" i="1"/>
  <c r="E16" i="1"/>
  <c r="F11" i="1"/>
  <c r="F12" i="1"/>
  <c r="F13" i="1"/>
  <c r="F6" i="1"/>
  <c r="F7" i="1"/>
  <c r="F9" i="1"/>
  <c r="O9" i="1"/>
  <c r="O13" i="1"/>
  <c r="O12" i="1"/>
  <c r="O8" i="1"/>
  <c r="O23" i="1"/>
  <c r="O11" i="1"/>
  <c r="O7" i="1"/>
  <c r="O20" i="1"/>
  <c r="O6" i="1"/>
  <c r="O10" i="1"/>
  <c r="O19" i="1"/>
  <c r="O22" i="1"/>
  <c r="J7" i="1"/>
  <c r="I7" i="1"/>
  <c r="I8" i="1"/>
  <c r="I9" i="1"/>
  <c r="I10" i="1"/>
  <c r="I6" i="1"/>
  <c r="K6" i="1"/>
  <c r="J8" i="1"/>
  <c r="J9" i="1"/>
  <c r="J10" i="1"/>
  <c r="J11" i="1"/>
  <c r="J12" i="1"/>
  <c r="J13" i="1"/>
  <c r="J6" i="1"/>
  <c r="I15" i="1"/>
  <c r="L15" i="1"/>
  <c r="N16" i="1"/>
  <c r="K13" i="1"/>
  <c r="K9" i="1"/>
  <c r="L13" i="1"/>
  <c r="K11" i="1"/>
  <c r="K7" i="1"/>
  <c r="K10" i="1"/>
  <c r="K12" i="1"/>
  <c r="K8" i="1"/>
  <c r="N14" i="1"/>
  <c r="N9" i="1"/>
  <c r="N7" i="1"/>
  <c r="N6" i="1"/>
  <c r="N12" i="1"/>
  <c r="N8" i="1"/>
  <c r="N11" i="1"/>
  <c r="N13" i="1"/>
  <c r="N10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<sst xmlns="http://schemas.openxmlformats.org/spreadsheetml/2006/main" count="84" uniqueCount="52">
  <si>
    <t>Mercury</t>
  </si>
  <si>
    <t>Venus</t>
  </si>
  <si>
    <t>Earth</t>
  </si>
  <si>
    <t>Mars</t>
  </si>
  <si>
    <t>Jupiter</t>
  </si>
  <si>
    <t>Saturn</t>
  </si>
  <si>
    <t>Uranus</t>
  </si>
  <si>
    <t>Neptune</t>
  </si>
  <si>
    <t>Classroom Size</t>
  </si>
  <si>
    <t>metres</t>
  </si>
  <si>
    <t>cm</t>
  </si>
  <si>
    <t>Real Distance From Sun (million km)</t>
  </si>
  <si>
    <t>Model Radius (cm)</t>
  </si>
  <si>
    <t>Real Radius (km)</t>
  </si>
  <si>
    <t>Model Distance From Sun (m)</t>
  </si>
  <si>
    <t>Real Distance From Previous (million km)</t>
  </si>
  <si>
    <t>Planet Scale (millions:1)</t>
  </si>
  <si>
    <t>http://www.universetoday.com/36649/planets-in-order-of-size/</t>
  </si>
  <si>
    <t>miles</t>
  </si>
  <si>
    <t>Model Distance using Jupiter Scale (m)</t>
  </si>
  <si>
    <t>Sol</t>
  </si>
  <si>
    <t>(Pluto)</t>
  </si>
  <si>
    <t>-</t>
  </si>
  <si>
    <t>Earth relative</t>
  </si>
  <si>
    <t>Distance Scale (billions:1)</t>
  </si>
  <si>
    <t>Radius using Distance Scale (mm)</t>
  </si>
  <si>
    <t>Proxima Centauri</t>
  </si>
  <si>
    <t>Model Distance From Previous (m)</t>
  </si>
  <si>
    <t>Andromeda Galaxy</t>
  </si>
  <si>
    <t>Earth Diameter</t>
  </si>
  <si>
    <t>Moon Diameter</t>
  </si>
  <si>
    <t>Distance to Moon</t>
  </si>
  <si>
    <t>Aeroplane</t>
  </si>
  <si>
    <t>Space</t>
  </si>
  <si>
    <t>Sun</t>
  </si>
  <si>
    <t>Mars A</t>
  </si>
  <si>
    <t>Mars B</t>
  </si>
  <si>
    <t>ISS</t>
  </si>
  <si>
    <t>Andromeda</t>
  </si>
  <si>
    <t>Alpha Centauri</t>
  </si>
  <si>
    <t>Real</t>
  </si>
  <si>
    <t>Model</t>
  </si>
  <si>
    <t>m</t>
  </si>
  <si>
    <t>miles/metre</t>
  </si>
  <si>
    <t>feet</t>
  </si>
  <si>
    <t>light years</t>
  </si>
  <si>
    <t>million miles</t>
  </si>
  <si>
    <t>Scotland</t>
  </si>
  <si>
    <t>York</t>
  </si>
  <si>
    <t>Venice</t>
  </si>
  <si>
    <t>The sun</t>
  </si>
  <si>
    <t>2 x Alpha Centauri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</si>
</sst>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4" tint="0.399975585192419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3" fontId="0" fillId="5" borderId="0" xfId="0" applyNumberFormat="1" applyFill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3" fontId="0" fillId="3" borderId="1" xfId="0" quotePrefix="1" applyNumberForma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center" vertical="center"/>
    </xf>
    <xf numFmtId="3" fontId="0" fillId="5" borderId="1" xfId="0" quotePrefix="1" applyNumberFormat="1" applyFill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/>
    <xf numFmtId="0" fontId="0" fillId="2" borderId="0" xfId="0" applyFill="1"/>
    <xf numFmtId="0" fontId="0" fillId="2" borderId="1" xfId="0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23">
    <dxf>
      <font>
        <color theme="4" tint="0.39994506668294322"/>
      </font>
      <border>
        <left/>
        <right/>
        <top/>
        <bottom/>
        <vertical/>
        <horizontal/>
      </border>
    </dxf>
    <dxf>
      <font>
        <color theme="7" tint="0.39994506668294322"/>
      </font>
      <border>
        <left/>
        <right/>
        <top/>
        <bottom/>
        <vertical/>
        <horizontal/>
      </border>
    </dxf>
    <dxf>
      <font>
        <color theme="4" tint="0.39994506668294322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9" tint="0.39994506668294322"/>
      </font>
      <border>
        <left/>
        <right/>
        <top/>
        <bottom/>
        <vertical/>
        <horizontal/>
      </border>
    </dxf>
    <dxf>
      <font>
        <color theme="7" tint="0.39994506668294322"/>
      </font>
      <border>
        <left/>
        <right/>
        <top/>
        <bottom/>
        <vertical/>
        <horizontal/>
      </border>
    </dxf>
    <dxf>
      <font>
        <color theme="4" tint="0.39994506668294322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9" tint="0.39994506668294322"/>
      </font>
      <border>
        <left/>
        <right/>
        <top/>
        <bottom/>
        <vertical/>
        <horizontal/>
      </border>
    </dxf>
    <dxf>
      <font>
        <color theme="7" tint="0.39994506668294322"/>
      </font>
      <border>
        <left/>
        <right/>
        <top/>
        <bottom/>
        <vertical/>
        <horizontal/>
      </border>
    </dxf>
    <dxf>
      <font>
        <color theme="4" tint="0.39994506668294322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9" tint="0.39994506668294322"/>
      </font>
      <border>
        <left/>
        <right/>
        <top/>
        <bottom/>
        <vertical/>
        <horizontal/>
      </border>
    </dxf>
    <dxf>
      <font>
        <color theme="7" tint="0.39994506668294322"/>
      </font>
    </dxf>
    <dxf>
      <font>
        <color theme="7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4" tint="0.39994506668294322"/>
      </font>
    </dxf>
    <dxf>
      <font>
        <color theme="9" tint="0.39994506668294322"/>
      </font>
    </dxf>
    <dxf>
      <font>
        <color theme="9" tint="0.39994506668294322"/>
      </font>
    </dxf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D$3" lockText="1" noThreeD="1"/>
</file>

<file path=xl/ctrlProps/ctrlProp10.xml><?xml version="1.0" encoding="utf-8"?>
<formControlPr xmlns="http://schemas.microsoft.com/office/spreadsheetml/2009/9/main" objectType="CheckBox" checked="Checked" fmlaLink="$O$3" lockText="1" noThreeD="1"/>
</file>

<file path=xl/ctrlProps/ctrlProp11.xml><?xml version="1.0" encoding="utf-8"?>
<formControlPr xmlns="http://schemas.microsoft.com/office/spreadsheetml/2009/9/main" objectType="CheckBox" checked="Checked" fmlaLink="$B$15" lockText="1" noThreeD="1"/>
</file>

<file path=xl/ctrlProps/ctrlProp12.xml><?xml version="1.0" encoding="utf-8"?>
<formControlPr xmlns="http://schemas.microsoft.com/office/spreadsheetml/2009/9/main" objectType="CheckBox" checked="Checked" fmlaLink="$B$18" lockText="1" noThreeD="1"/>
</file>

<file path=xl/ctrlProps/ctrlProp13.xml><?xml version="1.0" encoding="utf-8"?>
<formControlPr xmlns="http://schemas.microsoft.com/office/spreadsheetml/2009/9/main" objectType="CheckBox" checked="Checked" fmlaLink="$B$21" lockText="1" noThreeD="1"/>
</file>

<file path=xl/ctrlProps/ctrlProp2.xml><?xml version="1.0" encoding="utf-8"?>
<formControlPr xmlns="http://schemas.microsoft.com/office/spreadsheetml/2009/9/main" objectType="CheckBox" checked="Checked" fmlaLink="$E$3" lockText="1" noThreeD="1"/>
</file>

<file path=xl/ctrlProps/ctrlProp3.xml><?xml version="1.0" encoding="utf-8"?>
<formControlPr xmlns="http://schemas.microsoft.com/office/spreadsheetml/2009/9/main" objectType="CheckBox" checked="Checked" fmlaLink="$F$3" lockText="1" noThreeD="1"/>
</file>

<file path=xl/ctrlProps/ctrlProp4.xml><?xml version="1.0" encoding="utf-8"?>
<formControlPr xmlns="http://schemas.microsoft.com/office/spreadsheetml/2009/9/main" objectType="CheckBox" checked="Checked" fmlaLink="$H$3" lockText="1" noThreeD="1"/>
</file>

<file path=xl/ctrlProps/ctrlProp5.xml><?xml version="1.0" encoding="utf-8"?>
<formControlPr xmlns="http://schemas.microsoft.com/office/spreadsheetml/2009/9/main" objectType="CheckBox" checked="Checked" fmlaLink="$I$3" lockText="1" noThreeD="1"/>
</file>

<file path=xl/ctrlProps/ctrlProp6.xml><?xml version="1.0" encoding="utf-8"?>
<formControlPr xmlns="http://schemas.microsoft.com/office/spreadsheetml/2009/9/main" objectType="CheckBox" fmlaLink="$J$3" lockText="1" noThreeD="1"/>
</file>

<file path=xl/ctrlProps/ctrlProp7.xml><?xml version="1.0" encoding="utf-8"?>
<formControlPr xmlns="http://schemas.microsoft.com/office/spreadsheetml/2009/9/main" objectType="CheckBox" checked="Checked" fmlaLink="$K$3" lockText="1" noThreeD="1"/>
</file>

<file path=xl/ctrlProps/ctrlProp8.xml><?xml version="1.0" encoding="utf-8"?>
<formControlPr xmlns="http://schemas.microsoft.com/office/spreadsheetml/2009/9/main" objectType="CheckBox" checked="Checked" fmlaLink="$L$3" lockText="1" noThreeD="1"/>
</file>

<file path=xl/ctrlProps/ctrlProp9.xml><?xml version="1.0" encoding="utf-8"?>
<formControlPr xmlns="http://schemas.microsoft.com/office/spreadsheetml/2009/9/main" objectType="CheckBox" checked="Checked" fmlaLink="$N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3</xdr:row>
          <xdr:rowOff>541020</xdr:rowOff>
        </xdr:from>
        <xdr:to>
          <xdr:col>4</xdr:col>
          <xdr:colOff>83820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3</xdr:row>
          <xdr:rowOff>541020</xdr:rowOff>
        </xdr:from>
        <xdr:to>
          <xdr:col>5</xdr:col>
          <xdr:colOff>83820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</xdr:row>
          <xdr:rowOff>541020</xdr:rowOff>
        </xdr:from>
        <xdr:to>
          <xdr:col>6</xdr:col>
          <xdr:colOff>83820</xdr:colOff>
          <xdr:row>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541020</xdr:rowOff>
        </xdr:from>
        <xdr:to>
          <xdr:col>7</xdr:col>
          <xdr:colOff>937260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541020</xdr:rowOff>
        </xdr:from>
        <xdr:to>
          <xdr:col>8</xdr:col>
          <xdr:colOff>937260</xdr:colOff>
          <xdr:row>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541020</xdr:rowOff>
        </xdr:from>
        <xdr:to>
          <xdr:col>9</xdr:col>
          <xdr:colOff>937260</xdr:colOff>
          <xdr:row>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541020</xdr:rowOff>
        </xdr:from>
        <xdr:to>
          <xdr:col>10</xdr:col>
          <xdr:colOff>937260</xdr:colOff>
          <xdr:row>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</xdr:row>
          <xdr:rowOff>541020</xdr:rowOff>
        </xdr:from>
        <xdr:to>
          <xdr:col>11</xdr:col>
          <xdr:colOff>998220</xdr:colOff>
          <xdr:row>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3</xdr:row>
          <xdr:rowOff>541020</xdr:rowOff>
        </xdr:from>
        <xdr:to>
          <xdr:col>13</xdr:col>
          <xdr:colOff>998220</xdr:colOff>
          <xdr:row>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</xdr:row>
          <xdr:rowOff>541020</xdr:rowOff>
        </xdr:from>
        <xdr:to>
          <xdr:col>14</xdr:col>
          <xdr:colOff>998220</xdr:colOff>
          <xdr:row>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16</xdr:row>
          <xdr:rowOff>7620</xdr:rowOff>
        </xdr:from>
        <xdr:to>
          <xdr:col>1</xdr:col>
          <xdr:colOff>1082040</xdr:colOff>
          <xdr:row>17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19</xdr:row>
          <xdr:rowOff>7620</xdr:rowOff>
        </xdr:from>
        <xdr:to>
          <xdr:col>1</xdr:col>
          <xdr:colOff>1082040</xdr:colOff>
          <xdr:row>20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22</xdr:row>
          <xdr:rowOff>7620</xdr:rowOff>
        </xdr:from>
        <xdr:to>
          <xdr:col>1</xdr:col>
          <xdr:colOff>1082040</xdr:colOff>
          <xdr:row>23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Show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6"/>
  <sheetViews>
    <sheetView tabSelected="1" zoomScaleNormal="100" workbookViewId="0">
      <selection activeCell="P7" sqref="P7"/>
    </sheetView>
  </sheetViews>
  <sheetFormatPr defaultColWidth="9.109375" defaultRowHeight="14.4" x14ac:dyDescent="0.3"/>
  <cols>
    <col min="1" max="1" width="2.33203125" style="1" customWidth="1"/>
    <col min="2" max="2" width="16.88671875" style="1" customWidth="1"/>
    <col min="3" max="3" width="1.6640625" style="12" customWidth="1"/>
    <col min="4" max="5" width="13.6640625" style="1" customWidth="1"/>
    <col min="6" max="6" width="13.6640625" style="5" customWidth="1"/>
    <col min="7" max="7" width="1.6640625" style="1" customWidth="1"/>
    <col min="8" max="11" width="17.6640625" style="1" customWidth="1"/>
    <col min="12" max="12" width="17.6640625" style="5" customWidth="1"/>
    <col min="13" max="13" width="1.6640625" style="1" customWidth="1"/>
    <col min="14" max="15" width="17.6640625" style="1" customWidth="1"/>
    <col min="16" max="20" width="9.109375" style="1"/>
    <col min="21" max="22" width="12" style="1" bestFit="1" customWidth="1"/>
    <col min="23" max="16384" width="9.109375" style="1"/>
  </cols>
  <sheetData>
    <row r="1" spans="2:22" ht="9.75" customHeight="1" x14ac:dyDescent="0.3"/>
    <row r="2" spans="2:22" x14ac:dyDescent="0.3">
      <c r="C2" s="14"/>
      <c r="D2" s="12" t="s">
        <v>8</v>
      </c>
      <c r="E2" s="6">
        <v>10</v>
      </c>
      <c r="F2" s="13" t="s">
        <v>9</v>
      </c>
    </row>
    <row r="3" spans="2:22" s="9" customFormat="1" ht="9.75" customHeight="1" x14ac:dyDescent="0.3">
      <c r="D3" s="9" t="b">
        <v>1</v>
      </c>
      <c r="E3" s="9" t="b">
        <v>1</v>
      </c>
      <c r="F3" s="10" t="b">
        <v>1</v>
      </c>
      <c r="H3" s="9" t="b">
        <v>1</v>
      </c>
      <c r="I3" s="9" t="b">
        <v>1</v>
      </c>
      <c r="J3" s="9" t="b">
        <v>0</v>
      </c>
      <c r="K3" s="9" t="b">
        <v>1</v>
      </c>
      <c r="L3" s="10" t="b">
        <v>1</v>
      </c>
      <c r="N3" s="9" t="b">
        <v>1</v>
      </c>
      <c r="O3" s="9" t="b">
        <v>1</v>
      </c>
    </row>
    <row r="4" spans="2:22" s="3" customFormat="1" ht="43.2" x14ac:dyDescent="0.3">
      <c r="D4" s="25" t="s">
        <v>13</v>
      </c>
      <c r="E4" s="38" t="s">
        <v>12</v>
      </c>
      <c r="F4" s="26" t="s">
        <v>16</v>
      </c>
      <c r="H4" s="15" t="s">
        <v>11</v>
      </c>
      <c r="I4" s="37" t="s">
        <v>14</v>
      </c>
      <c r="J4" s="15" t="s">
        <v>15</v>
      </c>
      <c r="K4" s="37" t="s">
        <v>27</v>
      </c>
      <c r="L4" s="16" t="s">
        <v>24</v>
      </c>
      <c r="N4" s="21" t="s">
        <v>25</v>
      </c>
      <c r="O4" s="21" t="s">
        <v>19</v>
      </c>
    </row>
    <row r="5" spans="2:22" s="3" customFormat="1" x14ac:dyDescent="0.3">
      <c r="D5" s="25"/>
      <c r="E5" s="25"/>
      <c r="F5" s="26"/>
      <c r="H5" s="15"/>
      <c r="I5" s="15"/>
      <c r="J5" s="15"/>
      <c r="K5" s="15"/>
      <c r="L5" s="16"/>
      <c r="N5" s="21"/>
      <c r="O5" s="21"/>
    </row>
    <row r="6" spans="2:22" ht="19.5" customHeight="1" x14ac:dyDescent="0.3">
      <c r="B6" s="7" t="s">
        <v>0</v>
      </c>
      <c r="C6" s="8"/>
      <c r="D6" s="27">
        <v>2440</v>
      </c>
      <c r="E6" s="47">
        <v>0.75</v>
      </c>
      <c r="F6" s="27">
        <f t="shared" ref="F6:F13" si="0">ROUND((D6*1000*100)/E6,-8)/1000000</f>
        <v>300</v>
      </c>
      <c r="G6" s="8"/>
      <c r="H6" s="36">
        <v>57.9</v>
      </c>
      <c r="I6" s="18">
        <f t="shared" ref="I6:I10" si="1">ROUND(E$2*H6/H$13,2)</f>
        <v>0.13</v>
      </c>
      <c r="J6" s="36">
        <f>H6</f>
        <v>57.9</v>
      </c>
      <c r="K6" s="31">
        <f>I6</f>
        <v>0.13</v>
      </c>
      <c r="L6" s="17">
        <f t="shared" ref="L6:L12" si="2">L7</f>
        <v>450</v>
      </c>
      <c r="N6" s="41">
        <f t="shared" ref="N6:N9" si="3">ROUNDUP(D6*1000*1000/L$15,4)</f>
        <v>5.4000000000000003E-3</v>
      </c>
      <c r="O6" s="22">
        <f>ROUNDUP(H6*1000/F$10,0)</f>
        <v>35</v>
      </c>
    </row>
    <row r="7" spans="2:22" ht="19.5" customHeight="1" x14ac:dyDescent="0.3">
      <c r="B7" s="7" t="s">
        <v>1</v>
      </c>
      <c r="C7" s="8"/>
      <c r="D7" s="27">
        <v>6052</v>
      </c>
      <c r="E7" s="47">
        <v>1</v>
      </c>
      <c r="F7" s="27">
        <f t="shared" si="0"/>
        <v>600</v>
      </c>
      <c r="G7" s="8"/>
      <c r="H7" s="36">
        <v>108.2</v>
      </c>
      <c r="I7" s="18">
        <f t="shared" si="1"/>
        <v>0.24</v>
      </c>
      <c r="J7" s="36">
        <f t="shared" ref="J7:K13" si="4">H7-H6</f>
        <v>50.300000000000004</v>
      </c>
      <c r="K7" s="31">
        <f t="shared" si="4"/>
        <v>0.10999999999999999</v>
      </c>
      <c r="L7" s="17">
        <f t="shared" si="2"/>
        <v>450</v>
      </c>
      <c r="N7" s="41">
        <f t="shared" si="3"/>
        <v>1.3399999999999999E-2</v>
      </c>
      <c r="O7" s="22">
        <f t="shared" ref="O7:O13" si="5">ROUNDUP(H7*1000/F$10,0)</f>
        <v>64</v>
      </c>
    </row>
    <row r="8" spans="2:22" ht="19.5" customHeight="1" x14ac:dyDescent="0.3">
      <c r="B8" s="7" t="s">
        <v>2</v>
      </c>
      <c r="C8" s="8"/>
      <c r="D8" s="27">
        <v>6371</v>
      </c>
      <c r="E8" s="47">
        <v>1</v>
      </c>
      <c r="F8" s="27">
        <f t="shared" si="0"/>
        <v>600</v>
      </c>
      <c r="G8" s="8"/>
      <c r="H8" s="36">
        <v>149.6</v>
      </c>
      <c r="I8" s="18">
        <f t="shared" si="1"/>
        <v>0.33</v>
      </c>
      <c r="J8" s="36">
        <f t="shared" si="4"/>
        <v>41.399999999999991</v>
      </c>
      <c r="K8" s="31">
        <f t="shared" si="4"/>
        <v>9.0000000000000024E-2</v>
      </c>
      <c r="L8" s="17">
        <f t="shared" si="2"/>
        <v>450</v>
      </c>
      <c r="N8" s="41">
        <f t="shared" si="3"/>
        <v>1.41E-2</v>
      </c>
      <c r="O8" s="22">
        <f t="shared" si="5"/>
        <v>88</v>
      </c>
    </row>
    <row r="9" spans="2:22" ht="19.5" customHeight="1" x14ac:dyDescent="0.3">
      <c r="B9" s="7" t="s">
        <v>3</v>
      </c>
      <c r="C9" s="8"/>
      <c r="D9" s="27">
        <v>3390</v>
      </c>
      <c r="E9" s="47">
        <v>0.75</v>
      </c>
      <c r="F9" s="27">
        <f t="shared" si="0"/>
        <v>500</v>
      </c>
      <c r="G9" s="8"/>
      <c r="H9" s="36">
        <v>227.9</v>
      </c>
      <c r="I9" s="18">
        <f t="shared" si="1"/>
        <v>0.51</v>
      </c>
      <c r="J9" s="36">
        <f t="shared" si="4"/>
        <v>78.300000000000011</v>
      </c>
      <c r="K9" s="31">
        <f t="shared" si="4"/>
        <v>0.18</v>
      </c>
      <c r="L9" s="17">
        <f t="shared" si="2"/>
        <v>450</v>
      </c>
      <c r="N9" s="41">
        <f t="shared" si="3"/>
        <v>7.5000000000000006E-3</v>
      </c>
      <c r="O9" s="22">
        <f t="shared" si="5"/>
        <v>135</v>
      </c>
    </row>
    <row r="10" spans="2:22" ht="19.5" customHeight="1" x14ac:dyDescent="0.3">
      <c r="B10" s="7" t="s">
        <v>4</v>
      </c>
      <c r="C10" s="8"/>
      <c r="D10" s="27">
        <v>69911</v>
      </c>
      <c r="E10" s="47">
        <v>4</v>
      </c>
      <c r="F10" s="27">
        <f>ROUND((D10*1000*100)/E10,-8)/1000000</f>
        <v>1700</v>
      </c>
      <c r="G10" s="8"/>
      <c r="H10" s="36">
        <v>778.3</v>
      </c>
      <c r="I10" s="18">
        <f t="shared" si="1"/>
        <v>1.73</v>
      </c>
      <c r="J10" s="36">
        <f t="shared" si="4"/>
        <v>550.4</v>
      </c>
      <c r="K10" s="31">
        <f t="shared" si="4"/>
        <v>1.22</v>
      </c>
      <c r="L10" s="17">
        <f t="shared" si="2"/>
        <v>450</v>
      </c>
      <c r="N10" s="41">
        <f>ROUNDUP(D10*1000*1000/L$15,4)</f>
        <v>0.15389999999999998</v>
      </c>
      <c r="O10" s="22">
        <f t="shared" si="5"/>
        <v>458</v>
      </c>
    </row>
    <row r="11" spans="2:22" ht="19.5" customHeight="1" x14ac:dyDescent="0.3">
      <c r="B11" s="7" t="s">
        <v>5</v>
      </c>
      <c r="C11" s="8"/>
      <c r="D11" s="27">
        <v>58232</v>
      </c>
      <c r="E11" s="47">
        <v>3.5</v>
      </c>
      <c r="F11" s="27">
        <f t="shared" si="0"/>
        <v>1700</v>
      </c>
      <c r="G11" s="8"/>
      <c r="H11" s="36">
        <v>1427</v>
      </c>
      <c r="I11" s="18">
        <f>ROUND(E$2*H11/H$13,2)</f>
        <v>3.17</v>
      </c>
      <c r="J11" s="36">
        <f t="shared" si="4"/>
        <v>648.70000000000005</v>
      </c>
      <c r="K11" s="31">
        <f t="shared" si="4"/>
        <v>1.44</v>
      </c>
      <c r="L11" s="17">
        <f t="shared" si="2"/>
        <v>450</v>
      </c>
      <c r="N11" s="41">
        <f t="shared" ref="N11:N13" si="6">ROUNDUP(D11*1000*1000/L$15,4)</f>
        <v>0.12819999999999998</v>
      </c>
      <c r="O11" s="22">
        <f t="shared" si="5"/>
        <v>840</v>
      </c>
    </row>
    <row r="12" spans="2:22" ht="19.5" customHeight="1" x14ac:dyDescent="0.3">
      <c r="B12" s="7" t="s">
        <v>6</v>
      </c>
      <c r="C12" s="8"/>
      <c r="D12" s="27">
        <v>25362</v>
      </c>
      <c r="E12" s="47">
        <v>2</v>
      </c>
      <c r="F12" s="27">
        <f t="shared" si="0"/>
        <v>1300</v>
      </c>
      <c r="G12" s="8"/>
      <c r="H12" s="36">
        <v>2871</v>
      </c>
      <c r="I12" s="18">
        <f>ROUND(E$2*H12/H$13,2)</f>
        <v>6.38</v>
      </c>
      <c r="J12" s="36">
        <f t="shared" si="4"/>
        <v>1444</v>
      </c>
      <c r="K12" s="31">
        <f t="shared" si="4"/>
        <v>3.21</v>
      </c>
      <c r="L12" s="17">
        <f t="shared" si="2"/>
        <v>450</v>
      </c>
      <c r="N12" s="41">
        <f t="shared" si="6"/>
        <v>5.5800000000000002E-2</v>
      </c>
      <c r="O12" s="22">
        <f t="shared" si="5"/>
        <v>1689</v>
      </c>
      <c r="V12" s="5"/>
    </row>
    <row r="13" spans="2:22" ht="19.5" customHeight="1" x14ac:dyDescent="0.3">
      <c r="B13" s="7" t="s">
        <v>7</v>
      </c>
      <c r="C13" s="8"/>
      <c r="D13" s="27">
        <v>24622</v>
      </c>
      <c r="E13" s="47">
        <v>2</v>
      </c>
      <c r="F13" s="27">
        <f t="shared" si="0"/>
        <v>1200</v>
      </c>
      <c r="G13" s="8"/>
      <c r="H13" s="36">
        <v>4497</v>
      </c>
      <c r="I13" s="18">
        <f>ROUND(E$2*H13/H$13,2)</f>
        <v>10</v>
      </c>
      <c r="J13" s="36">
        <f t="shared" si="4"/>
        <v>1626</v>
      </c>
      <c r="K13" s="31">
        <f t="shared" si="4"/>
        <v>3.62</v>
      </c>
      <c r="L13" s="17">
        <f>L14</f>
        <v>450</v>
      </c>
      <c r="N13" s="41">
        <f t="shared" si="6"/>
        <v>5.4200000000000005E-2</v>
      </c>
      <c r="O13" s="22">
        <f t="shared" si="5"/>
        <v>2646</v>
      </c>
      <c r="V13" s="5"/>
    </row>
    <row r="14" spans="2:22" ht="19.5" customHeight="1" x14ac:dyDescent="0.3">
      <c r="B14" s="7" t="s">
        <v>21</v>
      </c>
      <c r="C14" s="8"/>
      <c r="D14" s="27">
        <v>1147</v>
      </c>
      <c r="E14" s="42" t="s">
        <v>22</v>
      </c>
      <c r="F14" s="43" t="s">
        <v>22</v>
      </c>
      <c r="G14" s="8"/>
      <c r="H14" s="36">
        <v>5914</v>
      </c>
      <c r="I14" s="18">
        <f>ROUND(E$2*H14/H$13,2)</f>
        <v>13.15</v>
      </c>
      <c r="J14" s="36">
        <f>H14-H13</f>
        <v>1417</v>
      </c>
      <c r="K14" s="31">
        <f>I14-I13</f>
        <v>3.1500000000000004</v>
      </c>
      <c r="L14" s="17">
        <f>ROUND((H14*1000000*1000/I14)/1000000000,-1)</f>
        <v>450</v>
      </c>
      <c r="N14" s="41">
        <f>ROUNDUP(D14*1000*1000/L$15,4)</f>
        <v>2.5999999999999999E-3</v>
      </c>
      <c r="O14" s="22">
        <f>ROUNDUP(H14*1000/F$10,0)</f>
        <v>3479</v>
      </c>
      <c r="V14" s="5"/>
    </row>
    <row r="15" spans="2:22" ht="9.75" customHeight="1" x14ac:dyDescent="0.3">
      <c r="B15" s="11" t="b">
        <v>1</v>
      </c>
      <c r="D15" s="29"/>
      <c r="E15" s="29"/>
      <c r="F15" s="30"/>
      <c r="H15" s="35">
        <f>150000000*1000</f>
        <v>150000000000</v>
      </c>
      <c r="I15" s="34">
        <f>I8</f>
        <v>0.33</v>
      </c>
      <c r="J15" s="20"/>
      <c r="K15" s="19"/>
      <c r="L15" s="35">
        <f>H15/I15</f>
        <v>454545454545.45453</v>
      </c>
      <c r="N15" s="24"/>
      <c r="O15" s="24"/>
    </row>
    <row r="16" spans="2:22" ht="19.5" customHeight="1" x14ac:dyDescent="0.3">
      <c r="B16" s="7" t="s">
        <v>20</v>
      </c>
      <c r="D16" s="28">
        <v>695800</v>
      </c>
      <c r="E16" s="28">
        <f>ROUND(1000*100*D16/(1000000*F8),0)</f>
        <v>116</v>
      </c>
      <c r="F16" s="27">
        <f>F8</f>
        <v>600</v>
      </c>
      <c r="H16" s="33" t="s">
        <v>22</v>
      </c>
      <c r="I16" s="32" t="s">
        <v>22</v>
      </c>
      <c r="J16" s="33" t="s">
        <v>22</v>
      </c>
      <c r="K16" s="32" t="s">
        <v>22</v>
      </c>
      <c r="L16" s="33" t="s">
        <v>22</v>
      </c>
      <c r="N16" s="39">
        <f>ROUND(D16*1000*1000/L$15,2)</f>
        <v>1.53</v>
      </c>
      <c r="O16" s="23" t="s">
        <v>22</v>
      </c>
    </row>
    <row r="17" spans="2:15" x14ac:dyDescent="0.3">
      <c r="D17" s="29"/>
      <c r="E17" s="29"/>
      <c r="F17" s="30" t="s">
        <v>23</v>
      </c>
      <c r="H17" s="20"/>
      <c r="I17" s="19"/>
      <c r="J17" s="20"/>
      <c r="K17" s="19"/>
      <c r="L17" s="20"/>
      <c r="N17" s="24"/>
      <c r="O17" s="24"/>
    </row>
    <row r="18" spans="2:15" ht="9.75" customHeight="1" x14ac:dyDescent="0.3">
      <c r="B18" s="11" t="b">
        <v>1</v>
      </c>
      <c r="D18" s="29"/>
      <c r="E18" s="29"/>
      <c r="F18" s="30"/>
      <c r="H18" s="20"/>
      <c r="I18" s="19"/>
      <c r="J18" s="20"/>
      <c r="K18" s="19"/>
      <c r="L18" s="20"/>
      <c r="N18" s="24"/>
      <c r="O18" s="24"/>
    </row>
    <row r="19" spans="2:15" s="12" customFormat="1" ht="19.5" customHeight="1" x14ac:dyDescent="0.3">
      <c r="B19" s="7" t="s">
        <v>26</v>
      </c>
      <c r="D19" s="28" t="s">
        <v>22</v>
      </c>
      <c r="E19" s="28" t="s">
        <v>22</v>
      </c>
      <c r="F19" s="27" t="s">
        <v>22</v>
      </c>
      <c r="H19" s="33">
        <f>4.243*9.46*POWER(10,15)/1000000000</f>
        <v>40138780.000000007</v>
      </c>
      <c r="I19" s="17" t="str">
        <f>ROUND(E$2*H19/(H$13*1000),1)&amp;" km"</f>
        <v>89.3 km</v>
      </c>
      <c r="J19" s="33" t="s">
        <v>22</v>
      </c>
      <c r="K19" s="33" t="s">
        <v>22</v>
      </c>
      <c r="L19" s="33">
        <f>L14</f>
        <v>450</v>
      </c>
      <c r="N19" s="40" t="s">
        <v>22</v>
      </c>
      <c r="O19" s="22" t="str">
        <f>ROUNDUP(H19/F$10,0)&amp;" km"</f>
        <v>23612 km</v>
      </c>
    </row>
    <row r="20" spans="2:15" s="12" customFormat="1" x14ac:dyDescent="0.3">
      <c r="D20" s="29"/>
      <c r="E20" s="29"/>
      <c r="F20" s="30"/>
      <c r="H20" s="19"/>
      <c r="I20" s="20" t="str">
        <f>ROUND(5*(E$2*H19/(H$13*1000))/8,1)&amp;" miles"</f>
        <v>55.8 miles</v>
      </c>
      <c r="J20" s="19"/>
      <c r="K20" s="19"/>
      <c r="L20" s="20"/>
      <c r="N20" s="24"/>
      <c r="O20" s="24" t="str">
        <f>ROUNDUP(5*(H19/F$10)/8,-2)&amp;" miles"</f>
        <v>14800 miles</v>
      </c>
    </row>
    <row r="21" spans="2:15" s="12" customFormat="1" ht="9.75" customHeight="1" x14ac:dyDescent="0.3">
      <c r="B21" s="11" t="b">
        <v>1</v>
      </c>
      <c r="D21" s="29"/>
      <c r="E21" s="29"/>
      <c r="F21" s="30"/>
      <c r="H21" s="19"/>
      <c r="I21" s="19"/>
      <c r="J21" s="19"/>
      <c r="K21" s="19"/>
      <c r="L21" s="20"/>
      <c r="N21" s="24"/>
      <c r="O21" s="24"/>
    </row>
    <row r="22" spans="2:15" s="12" customFormat="1" ht="19.5" customHeight="1" x14ac:dyDescent="0.3">
      <c r="B22" s="7" t="s">
        <v>28</v>
      </c>
      <c r="D22" s="28">
        <v>695800</v>
      </c>
      <c r="E22" s="42" t="s">
        <v>22</v>
      </c>
      <c r="F22" s="27" t="str">
        <f>F14</f>
        <v>-</v>
      </c>
      <c r="H22" s="32">
        <f>2538000*9.46*POWER(10,15)/1000000000</f>
        <v>24009480000000.004</v>
      </c>
      <c r="I22" s="32" t="str">
        <f>ROUND(E$2*H22/(H$13*1000),-6)&amp;" km"</f>
        <v>53000000 km</v>
      </c>
      <c r="J22" s="32" t="s">
        <v>22</v>
      </c>
      <c r="K22" s="32" t="s">
        <v>22</v>
      </c>
      <c r="L22" s="33">
        <f>L19</f>
        <v>450</v>
      </c>
      <c r="N22" s="40" t="s">
        <v>22</v>
      </c>
      <c r="O22" s="23" t="str">
        <f>ROUNDUP(H22/F$10,-8)&amp;" km"</f>
        <v>14200000000 km</v>
      </c>
    </row>
    <row r="23" spans="2:15" s="12" customFormat="1" x14ac:dyDescent="0.3">
      <c r="D23" s="29"/>
      <c r="E23" s="29"/>
      <c r="F23" s="30" t="s">
        <v>23</v>
      </c>
      <c r="H23" s="19"/>
      <c r="I23" s="20" t="str">
        <f>ROUND(5*(E$2*H22/(H$13*1000))/8,-6)&amp;" miles"</f>
        <v>33000000 miles</v>
      </c>
      <c r="J23" s="19"/>
      <c r="K23" s="19"/>
      <c r="L23" s="20"/>
      <c r="N23" s="24"/>
      <c r="O23" s="24" t="str">
        <f>ROUNDUP(5*(H22/F$10)/8,-8)&amp;" miles"</f>
        <v>8900000000 miles</v>
      </c>
    </row>
    <row r="24" spans="2:15" s="12" customFormat="1" ht="9.75" customHeight="1" x14ac:dyDescent="0.3">
      <c r="D24" s="29"/>
      <c r="E24" s="29"/>
      <c r="F24" s="30"/>
      <c r="H24" s="19"/>
      <c r="I24" s="19"/>
      <c r="J24" s="19"/>
      <c r="K24" s="19"/>
      <c r="L24" s="20"/>
      <c r="N24" s="24"/>
      <c r="O24" s="24"/>
    </row>
    <row r="36" spans="2:4" x14ac:dyDescent="0.3">
      <c r="B36" s="2" t="s">
        <v>17</v>
      </c>
    </row>
    <row r="38" spans="2:4" x14ac:dyDescent="0.3">
      <c r="B38" s="1">
        <v>5</v>
      </c>
      <c r="D38" s="4">
        <v>1516</v>
      </c>
    </row>
    <row r="39" spans="2:4" x14ac:dyDescent="0.3">
      <c r="B39" s="1">
        <v>10</v>
      </c>
      <c r="D39" s="4">
        <v>3761</v>
      </c>
    </row>
    <row r="40" spans="2:4" x14ac:dyDescent="0.3">
      <c r="D40" s="4">
        <v>3959</v>
      </c>
    </row>
    <row r="41" spans="2:4" x14ac:dyDescent="0.3">
      <c r="D41" s="4">
        <v>2460</v>
      </c>
    </row>
    <row r="42" spans="2:4" x14ac:dyDescent="0.3">
      <c r="D42" s="4">
        <v>43441</v>
      </c>
    </row>
    <row r="43" spans="2:4" x14ac:dyDescent="0.3">
      <c r="D43" s="4">
        <v>36184</v>
      </c>
    </row>
    <row r="44" spans="2:4" x14ac:dyDescent="0.3">
      <c r="D44" s="4">
        <v>15759</v>
      </c>
    </row>
    <row r="45" spans="2:4" x14ac:dyDescent="0.3">
      <c r="D45" s="4">
        <v>15299</v>
      </c>
    </row>
    <row r="46" spans="2:4" x14ac:dyDescent="0.3">
      <c r="D46">
        <v>713</v>
      </c>
    </row>
  </sheetData>
  <conditionalFormatting sqref="D6:D14">
    <cfRule type="expression" dxfId="22" priority="27">
      <formula>IF($D$3=FALSE,TRUE,FALSE)</formula>
    </cfRule>
  </conditionalFormatting>
  <conditionalFormatting sqref="E6:E14">
    <cfRule type="expression" dxfId="21" priority="26">
      <formula>IF($E$3=FALSE,TRUE,FALSE)</formula>
    </cfRule>
  </conditionalFormatting>
  <conditionalFormatting sqref="F6:F14">
    <cfRule type="expression" dxfId="20" priority="25">
      <formula>IF($F$3=FALSE,TRUE,FALSE)</formula>
    </cfRule>
  </conditionalFormatting>
  <conditionalFormatting sqref="H6:H14">
    <cfRule type="expression" dxfId="19" priority="24">
      <formula>IF($H$3=FALSE,TRUE,FALSE)</formula>
    </cfRule>
  </conditionalFormatting>
  <conditionalFormatting sqref="I6:I14">
    <cfRule type="expression" dxfId="18" priority="23">
      <formula>IF($I$3=FALSE,TRUE,FALSE)</formula>
    </cfRule>
  </conditionalFormatting>
  <conditionalFormatting sqref="J6:J14">
    <cfRule type="expression" dxfId="17" priority="22">
      <formula>IF($J$3=FALSE,TRUE,FALSE)</formula>
    </cfRule>
  </conditionalFormatting>
  <conditionalFormatting sqref="K6:K14">
    <cfRule type="expression" dxfId="16" priority="21">
      <formula>IF($K$3=FALSE,TRUE,FALSE)</formula>
    </cfRule>
  </conditionalFormatting>
  <conditionalFormatting sqref="L6:L14">
    <cfRule type="expression" dxfId="15" priority="20">
      <formula>IF($L$3=FALSE,TRUE,FALSE)</formula>
    </cfRule>
  </conditionalFormatting>
  <conditionalFormatting sqref="N6:N14">
    <cfRule type="expression" dxfId="14" priority="19">
      <formula>IF($N$3=FALSE,TRUE,FALSE)</formula>
    </cfRule>
  </conditionalFormatting>
  <conditionalFormatting sqref="O6:O14">
    <cfRule type="expression" dxfId="13" priority="18">
      <formula>IF($O$3=FALSE,TRUE,FALSE)</formula>
    </cfRule>
  </conditionalFormatting>
  <conditionalFormatting sqref="D16:F17">
    <cfRule type="expression" dxfId="12" priority="14">
      <formula>IF($B$15=FALSE,TRUE,FALSE)</formula>
    </cfRule>
  </conditionalFormatting>
  <conditionalFormatting sqref="B16">
    <cfRule type="expression" dxfId="11" priority="13">
      <formula>IF($B$15=FALSE,TRUE,FALSE)</formula>
    </cfRule>
  </conditionalFormatting>
  <conditionalFormatting sqref="H16:L16">
    <cfRule type="expression" dxfId="10" priority="12">
      <formula>IF($B$15=FALSE,TRUE,FALSE)</formula>
    </cfRule>
  </conditionalFormatting>
  <conditionalFormatting sqref="N16:O16">
    <cfRule type="expression" dxfId="9" priority="11">
      <formula>IF($B$15=FALSE,TRUE,FALSE)</formula>
    </cfRule>
  </conditionalFormatting>
  <conditionalFormatting sqref="D19:F19">
    <cfRule type="expression" dxfId="8" priority="10">
      <formula>IF($B$18=FALSE,TRUE,FALSE)</formula>
    </cfRule>
  </conditionalFormatting>
  <conditionalFormatting sqref="B19">
    <cfRule type="expression" dxfId="7" priority="9">
      <formula>IF($B$18=FALSE,TRUE,FALSE)</formula>
    </cfRule>
  </conditionalFormatting>
  <conditionalFormatting sqref="H19:L20">
    <cfRule type="expression" dxfId="6" priority="8">
      <formula>IF($B$18=FALSE,TRUE,FALSE)</formula>
    </cfRule>
  </conditionalFormatting>
  <conditionalFormatting sqref="N19:O20">
    <cfRule type="expression" dxfId="5" priority="7">
      <formula>IF($B$18=FALSE,TRUE,FALSE)</formula>
    </cfRule>
  </conditionalFormatting>
  <conditionalFormatting sqref="D22:F23">
    <cfRule type="expression" dxfId="4" priority="6">
      <formula>IF($B$21=FALSE,TRUE,FALSE)</formula>
    </cfRule>
  </conditionalFormatting>
  <conditionalFormatting sqref="B22">
    <cfRule type="expression" dxfId="3" priority="5">
      <formula>IF($B$21=FALSE,TRUE,FALSE)</formula>
    </cfRule>
  </conditionalFormatting>
  <conditionalFormatting sqref="H22:L23">
    <cfRule type="expression" dxfId="2" priority="4">
      <formula>IF($B$21=FALSE,TRUE,FALSE)</formula>
    </cfRule>
  </conditionalFormatting>
  <conditionalFormatting sqref="N22:O23">
    <cfRule type="expression" dxfId="1" priority="3">
      <formula>IF($B$21=FALSE,TRUE,FALSE)</formula>
    </cfRule>
  </conditionalFormatting>
  <conditionalFormatting sqref="I23">
    <cfRule type="expression" dxfId="0" priority="1">
      <formula>IF($B$18=FALSE,TRUE,FALSE)</formula>
    </cfRule>
  </conditionalFormatting>
  <dataValidations count="1">
    <dataValidation type="list" allowBlank="1" showInputMessage="1" showErrorMessage="1" sqref="E2" xr:uid="{E6B4C278-36C4-4107-89DE-1CF7B725A565}">
      <formula1>$B$38:$B$39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68580</xdr:colOff>
                    <xdr:row>3</xdr:row>
                    <xdr:rowOff>541020</xdr:rowOff>
                  </from>
                  <to>
                    <xdr:col>4</xdr:col>
                    <xdr:colOff>83820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68580</xdr:colOff>
                    <xdr:row>3</xdr:row>
                    <xdr:rowOff>541020</xdr:rowOff>
                  </from>
                  <to>
                    <xdr:col>5</xdr:col>
                    <xdr:colOff>83820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68580</xdr:colOff>
                    <xdr:row>3</xdr:row>
                    <xdr:rowOff>541020</xdr:rowOff>
                  </from>
                  <to>
                    <xdr:col>6</xdr:col>
                    <xdr:colOff>83820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541020</xdr:rowOff>
                  </from>
                  <to>
                    <xdr:col>7</xdr:col>
                    <xdr:colOff>937260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3</xdr:row>
                    <xdr:rowOff>541020</xdr:rowOff>
                  </from>
                  <to>
                    <xdr:col>8</xdr:col>
                    <xdr:colOff>937260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541020</xdr:rowOff>
                  </from>
                  <to>
                    <xdr:col>9</xdr:col>
                    <xdr:colOff>937260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0</xdr:colOff>
                    <xdr:row>3</xdr:row>
                    <xdr:rowOff>541020</xdr:rowOff>
                  </from>
                  <to>
                    <xdr:col>10</xdr:col>
                    <xdr:colOff>937260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11</xdr:col>
                    <xdr:colOff>68580</xdr:colOff>
                    <xdr:row>3</xdr:row>
                    <xdr:rowOff>541020</xdr:rowOff>
                  </from>
                  <to>
                    <xdr:col>11</xdr:col>
                    <xdr:colOff>998220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13</xdr:col>
                    <xdr:colOff>68580</xdr:colOff>
                    <xdr:row>3</xdr:row>
                    <xdr:rowOff>541020</xdr:rowOff>
                  </from>
                  <to>
                    <xdr:col>13</xdr:col>
                    <xdr:colOff>998220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14</xdr:col>
                    <xdr:colOff>68580</xdr:colOff>
                    <xdr:row>3</xdr:row>
                    <xdr:rowOff>541020</xdr:rowOff>
                  </from>
                  <to>
                    <xdr:col>14</xdr:col>
                    <xdr:colOff>998220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</xdr:col>
                    <xdr:colOff>121920</xdr:colOff>
                    <xdr:row>16</xdr:row>
                    <xdr:rowOff>7620</xdr:rowOff>
                  </from>
                  <to>
                    <xdr:col>1</xdr:col>
                    <xdr:colOff>1082040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</xdr:col>
                    <xdr:colOff>121920</xdr:colOff>
                    <xdr:row>19</xdr:row>
                    <xdr:rowOff>7620</xdr:rowOff>
                  </from>
                  <to>
                    <xdr:col>1</xdr:col>
                    <xdr:colOff>1082040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121920</xdr:colOff>
                    <xdr:row>22</xdr:row>
                    <xdr:rowOff>7620</xdr:rowOff>
                  </from>
                  <to>
                    <xdr:col>1</xdr:col>
                    <xdr:colOff>1082040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E443-5899-4C34-A24A-57FF1674DC2C}">
  <dimension ref="B1:K14"/>
  <sheetViews>
    <sheetView workbookViewId="0">
      <selection activeCell="E27" sqref="E27"/>
    </sheetView>
  </sheetViews>
  <sheetFormatPr defaultRowHeight="14.4" x14ac:dyDescent="0.3"/>
  <cols>
    <col min="3" max="3" width="12" bestFit="1" customWidth="1"/>
    <col min="5" max="5" width="28.21875" customWidth="1"/>
    <col min="8" max="8" width="12" bestFit="1" customWidth="1"/>
  </cols>
  <sheetData>
    <row r="1" spans="2:11" x14ac:dyDescent="0.3">
      <c r="C1" t="s">
        <v>40</v>
      </c>
      <c r="E1" t="s">
        <v>41</v>
      </c>
    </row>
    <row r="3" spans="2:11" x14ac:dyDescent="0.3">
      <c r="B3" t="s">
        <v>29</v>
      </c>
      <c r="E3">
        <f>4*E4</f>
        <v>26.8</v>
      </c>
      <c r="F3" t="s">
        <v>10</v>
      </c>
    </row>
    <row r="4" spans="2:11" x14ac:dyDescent="0.3">
      <c r="B4" t="s">
        <v>30</v>
      </c>
      <c r="E4" s="46">
        <v>6.7</v>
      </c>
      <c r="F4" t="s">
        <v>10</v>
      </c>
    </row>
    <row r="6" spans="2:11" x14ac:dyDescent="0.3">
      <c r="B6" t="s">
        <v>32</v>
      </c>
      <c r="C6">
        <v>35000</v>
      </c>
      <c r="D6" t="s">
        <v>44</v>
      </c>
      <c r="E6" s="44">
        <f>100*5*C6/3.3/1000/8/J$9</f>
        <v>4.6509057908257996E-2</v>
      </c>
      <c r="F6" t="s">
        <v>10</v>
      </c>
    </row>
    <row r="7" spans="2:11" x14ac:dyDescent="0.3">
      <c r="B7" t="s">
        <v>33</v>
      </c>
      <c r="C7">
        <v>60</v>
      </c>
      <c r="D7" t="s">
        <v>18</v>
      </c>
      <c r="E7" s="44">
        <f>100*C7/J$9</f>
        <v>0.4209734155810323</v>
      </c>
      <c r="F7" t="s">
        <v>10</v>
      </c>
    </row>
    <row r="8" spans="2:11" x14ac:dyDescent="0.3">
      <c r="B8" t="s">
        <v>37</v>
      </c>
      <c r="C8">
        <v>250</v>
      </c>
      <c r="D8" t="s">
        <v>18</v>
      </c>
      <c r="E8" s="44">
        <f>100*C8/J$9</f>
        <v>1.7540558982543011</v>
      </c>
      <c r="F8" t="s">
        <v>10</v>
      </c>
    </row>
    <row r="9" spans="2:11" x14ac:dyDescent="0.3">
      <c r="B9" t="s">
        <v>31</v>
      </c>
      <c r="C9">
        <v>240000</v>
      </c>
      <c r="D9" t="s">
        <v>18</v>
      </c>
      <c r="E9" s="44">
        <f>10*E3*2*PI()/100</f>
        <v>16.838936623241292</v>
      </c>
      <c r="F9" t="s">
        <v>42</v>
      </c>
      <c r="J9">
        <f>C9/E9</f>
        <v>14252.681470916001</v>
      </c>
      <c r="K9" t="s">
        <v>43</v>
      </c>
    </row>
    <row r="10" spans="2:11" x14ac:dyDescent="0.3">
      <c r="B10" t="s">
        <v>34</v>
      </c>
      <c r="C10">
        <v>93</v>
      </c>
      <c r="D10" t="s">
        <v>46</v>
      </c>
      <c r="E10" s="45">
        <f>500000000*C10/J$9/1000/8</f>
        <v>407.81799634412499</v>
      </c>
      <c r="F10" t="s">
        <v>18</v>
      </c>
      <c r="G10" t="s">
        <v>47</v>
      </c>
    </row>
    <row r="11" spans="2:11" x14ac:dyDescent="0.3">
      <c r="B11" t="s">
        <v>35</v>
      </c>
      <c r="C11">
        <v>48</v>
      </c>
      <c r="D11" t="s">
        <v>46</v>
      </c>
      <c r="E11" s="45">
        <f>500000000*C11/J$9/1000/8</f>
        <v>210.48670779051614</v>
      </c>
      <c r="F11" t="s">
        <v>18</v>
      </c>
      <c r="G11" t="s">
        <v>48</v>
      </c>
    </row>
    <row r="12" spans="2:11" x14ac:dyDescent="0.3">
      <c r="B12" t="s">
        <v>36</v>
      </c>
      <c r="C12">
        <v>234</v>
      </c>
      <c r="D12" t="s">
        <v>46</v>
      </c>
      <c r="E12" s="45">
        <f>500000000*C12/J$9/1000/8</f>
        <v>1026.1227004787663</v>
      </c>
      <c r="F12" t="s">
        <v>18</v>
      </c>
      <c r="G12" t="s">
        <v>49</v>
      </c>
    </row>
    <row r="13" spans="2:11" x14ac:dyDescent="0.3">
      <c r="B13" t="s">
        <v>39</v>
      </c>
      <c r="C13">
        <v>4.367</v>
      </c>
      <c r="D13" t="s">
        <v>45</v>
      </c>
      <c r="E13" s="45">
        <f>500*C13*186000*60*60*24*365.25/J$9/1000/8000000</f>
        <v>112.40445939728403</v>
      </c>
      <c r="F13" t="s">
        <v>46</v>
      </c>
      <c r="G13" t="s">
        <v>50</v>
      </c>
    </row>
    <row r="14" spans="2:11" x14ac:dyDescent="0.3">
      <c r="B14" t="s">
        <v>38</v>
      </c>
      <c r="C14">
        <v>2537000</v>
      </c>
      <c r="D14" t="s">
        <v>45</v>
      </c>
      <c r="E14" s="45">
        <f>500*C14*186000*60*60*24*365.25/J$9/1000/8000000</f>
        <v>65301148.040052578</v>
      </c>
      <c r="F14" t="s">
        <v>46</v>
      </c>
      <c r="G1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Sir Isaac Newton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Colman</dc:creator>
  <cp:lastModifiedBy>Graham Colman</cp:lastModifiedBy>
  <cp:lastPrinted>2023-11-19T20:54:22Z</cp:lastPrinted>
  <dcterms:created xsi:type="dcterms:W3CDTF">2014-11-10T18:47:45Z</dcterms:created>
  <dcterms:modified xsi:type="dcterms:W3CDTF">2023-11-19T21:09:06Z</dcterms:modified>
</cp:coreProperties>
</file>